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mc:AlternateContent xmlns:mc="http://schemas.openxmlformats.org/markup-compatibility/2006">
    <mc:Choice Requires="x15">
      <x15ac:absPath xmlns:x15ac="http://schemas.microsoft.com/office/spreadsheetml/2010/11/ac" url="/Users/kcrt/prog/pages/medicine/栄養製剤/"/>
    </mc:Choice>
  </mc:AlternateContent>
  <xr:revisionPtr revIDLastSave="0" documentId="13_ncr:1_{511CED8E-8F6E-7245-96A6-EFA15A7F20AB}" xr6:coauthVersionLast="47" xr6:coauthVersionMax="47" xr10:uidLastSave="{00000000-0000-0000-0000-000000000000}"/>
  <bookViews>
    <workbookView xWindow="6560" yWindow="960" windowWidth="18380" windowHeight="13560" xr2:uid="{00000000-000D-0000-FFFF-FFFF00000000}"/>
  </bookViews>
  <sheets>
    <sheet name="栄養素表" sheetId="1" r:id="rId1"/>
    <sheet name="参考文献"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1" l="1"/>
  <c r="F17" i="1"/>
  <c r="F14" i="1"/>
  <c r="F13" i="1"/>
  <c r="F12" i="1"/>
  <c r="F11" i="1"/>
  <c r="F10" i="1"/>
  <c r="F9" i="1"/>
  <c r="F7" i="1"/>
  <c r="F5" i="1"/>
  <c r="F4" i="1"/>
  <c r="E3" i="1"/>
  <c r="F3" i="1"/>
  <c r="F2" i="1"/>
  <c r="D17" i="1"/>
  <c r="E18" i="1"/>
  <c r="E17" i="1"/>
  <c r="E14" i="1"/>
  <c r="E13" i="1"/>
  <c r="E12" i="1"/>
  <c r="E11" i="1"/>
  <c r="E10" i="1"/>
  <c r="E9" i="1"/>
  <c r="E7" i="1"/>
  <c r="E5" i="1"/>
  <c r="E4" i="1"/>
  <c r="E2" i="1"/>
  <c r="D16" i="1"/>
  <c r="D14" i="1"/>
  <c r="D13" i="1"/>
  <c r="D12" i="1"/>
  <c r="D11" i="1"/>
  <c r="D10" i="1"/>
  <c r="D9" i="1"/>
  <c r="D7" i="1"/>
  <c r="D5" i="1"/>
  <c r="D4" i="1"/>
  <c r="D3" i="1"/>
  <c r="D2" i="1"/>
  <c r="C18" i="1"/>
  <c r="C2" i="1"/>
  <c r="C17" i="1"/>
  <c r="C16" i="1"/>
  <c r="C14" i="1"/>
  <c r="C13" i="1"/>
  <c r="C12" i="1"/>
  <c r="C11" i="1"/>
  <c r="C10" i="1"/>
  <c r="C9" i="1"/>
  <c r="C7" i="1"/>
  <c r="C5" i="1"/>
  <c r="C4" i="1"/>
  <c r="C3" i="1"/>
  <c r="B18" i="1"/>
  <c r="B17" i="1"/>
  <c r="B16" i="1"/>
  <c r="B14" i="1"/>
  <c r="B13" i="1"/>
  <c r="B12" i="1"/>
  <c r="B11" i="1"/>
  <c r="B10" i="1"/>
  <c r="B9" i="1"/>
  <c r="B7" i="1"/>
  <c r="B8" i="1" s="1"/>
  <c r="B5" i="1"/>
  <c r="B6" i="1" s="1"/>
  <c r="H18" i="1"/>
  <c r="F15" i="1"/>
  <c r="E15" i="1"/>
  <c r="E16" i="1"/>
  <c r="D18" i="1"/>
  <c r="D15" i="1"/>
  <c r="C15" i="1"/>
  <c r="H15" i="1" s="1"/>
  <c r="H16" i="1" l="1"/>
  <c r="E8" i="1"/>
  <c r="E6" i="1"/>
  <c r="F8" i="1"/>
  <c r="F6" i="1"/>
  <c r="H17" i="1" l="1"/>
  <c r="H14" i="1" l="1"/>
  <c r="H11" i="1"/>
  <c r="H12" i="1"/>
  <c r="H13" i="1"/>
  <c r="H3" i="1"/>
  <c r="D8" i="1"/>
  <c r="D6" i="1"/>
  <c r="H10" i="1"/>
  <c r="H9" i="1"/>
  <c r="C8" i="1"/>
  <c r="C6" i="1"/>
  <c r="H4" i="1"/>
  <c r="H2" i="1"/>
  <c r="H6" i="1" l="1"/>
  <c r="H8" i="1"/>
  <c r="H7" i="1"/>
  <c r="H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tc={AD443213-5E7E-9746-BB42-D820B456AA47}</author>
    <author>tc={145BB5E1-7483-3144-80CC-38436C4DBBBF}</author>
    <author>高橋 亨平</author>
  </authors>
  <commentList>
    <comment ref="C1" authorId="0" shapeId="0" xr:uid="{AD443213-5E7E-9746-BB42-D820B456AA4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2022-03-07</t>
      </text>
    </comment>
    <comment ref="D1" authorId="1" shapeId="0" xr:uid="{145BB5E1-7483-3144-80CC-38436C4DBBB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2022-03-07</t>
      </text>
    </comment>
    <comment ref="E1" authorId="2" shapeId="0" xr:uid="{8E7C1919-F42C-6F44-8148-00EAF8314D88}">
      <text>
        <r>
          <rPr>
            <b/>
            <sz val="10"/>
            <color rgb="FF000000"/>
            <rFont val="Yu Gothic UI"/>
          </rPr>
          <t>14g/100mL</t>
        </r>
      </text>
    </comment>
    <comment ref="F1" authorId="2" shapeId="0" xr:uid="{D3FBCAE6-EE7F-7645-963E-2AD6074684A9}">
      <text>
        <r>
          <rPr>
            <b/>
            <sz val="10"/>
            <color rgb="FF000000"/>
            <rFont val="Yu Gothic UI"/>
          </rPr>
          <t>17g/100mL</t>
        </r>
      </text>
    </comment>
  </commentList>
</comments>
</file>

<file path=xl/sharedStrings.xml><?xml version="1.0" encoding="utf-8"?>
<sst xmlns="http://schemas.openxmlformats.org/spreadsheetml/2006/main" count="42" uniqueCount="42">
  <si>
    <t>エネルギー [kcal]</t>
    <phoneticPr fontId="1"/>
  </si>
  <si>
    <t>タンパク質 [g]</t>
    <rPh sb="4" eb="5">
      <t>シツ</t>
    </rPh>
    <phoneticPr fontId="1"/>
  </si>
  <si>
    <t>脂質 [g]</t>
    <rPh sb="0" eb="2">
      <t>シシツ</t>
    </rPh>
    <phoneticPr fontId="1"/>
  </si>
  <si>
    <t>Na [mg]</t>
    <phoneticPr fontId="1"/>
  </si>
  <si>
    <t>K [mg]</t>
    <phoneticPr fontId="1"/>
  </si>
  <si>
    <t>Fe [mg]</t>
    <phoneticPr fontId="1"/>
  </si>
  <si>
    <t>参考文献</t>
    <rPh sb="0" eb="2">
      <t>サンコウ</t>
    </rPh>
    <rPh sb="2" eb="4">
      <t>ブンケン</t>
    </rPh>
    <phoneticPr fontId="1"/>
  </si>
  <si>
    <t>和光堂　はいはい</t>
    <rPh sb="0" eb="3">
      <t>ワコウドウ</t>
    </rPh>
    <phoneticPr fontId="1"/>
  </si>
  <si>
    <t>http://www.wakodo.co.jp/product/milk/product/</t>
  </si>
  <si>
    <t>Ca [mg]</t>
    <phoneticPr fontId="1"/>
  </si>
  <si>
    <t>Mg [mg]</t>
    <phoneticPr fontId="1"/>
  </si>
  <si>
    <t>Zn [mg]</t>
    <phoneticPr fontId="1"/>
  </si>
  <si>
    <t>P [mg]</t>
    <phoneticPr fontId="1"/>
  </si>
  <si>
    <t>http://www.wakodo.co.jp/product/milk/product/gungun.html</t>
  </si>
  <si>
    <t>和光堂　ぐんぐん</t>
    <rPh sb="0" eb="3">
      <t>ワコウドウ</t>
    </rPh>
    <phoneticPr fontId="1"/>
  </si>
  <si>
    <t>Cu [ug]</t>
    <phoneticPr fontId="1"/>
  </si>
  <si>
    <t>ビオチン [ug]</t>
    <phoneticPr fontId="1"/>
  </si>
  <si>
    <t>カルニチン [mg]</t>
    <phoneticPr fontId="1"/>
  </si>
  <si>
    <t>ボンラクトi</t>
    <phoneticPr fontId="1"/>
  </si>
  <si>
    <t>エレメンタルフォーミュラ</t>
    <phoneticPr fontId="1"/>
  </si>
  <si>
    <t>母乳</t>
    <rPh sb="0" eb="2">
      <t>ボニュウ</t>
    </rPh>
    <phoneticPr fontId="1"/>
  </si>
  <si>
    <t>人工乳</t>
    <rPh sb="0" eb="2">
      <t>ジンコウ</t>
    </rPh>
    <rPh sb="2" eb="3">
      <t>ニュウ</t>
    </rPh>
    <phoneticPr fontId="1"/>
  </si>
  <si>
    <t>日本食品標準成分表 2010, http://www.mhlw.go.jp/file/05-Shingikai-10901000-Kenkoukyoku-Soumuka/0000041888.pdf</t>
    <rPh sb="0" eb="2">
      <t>ニホン</t>
    </rPh>
    <rPh sb="2" eb="4">
      <t>ショクヒン</t>
    </rPh>
    <rPh sb="4" eb="6">
      <t>ヒョウジュン</t>
    </rPh>
    <rPh sb="6" eb="9">
      <t>セイブンヒョウ</t>
    </rPh>
    <phoneticPr fontId="1"/>
  </si>
  <si>
    <t>Mn [mg]</t>
    <phoneticPr fontId="1"/>
  </si>
  <si>
    <t>Tr</t>
    <phoneticPr fontId="1"/>
  </si>
  <si>
    <t>Se [ug]</t>
    <phoneticPr fontId="1"/>
  </si>
  <si>
    <t>エンシュアH</t>
    <phoneticPr fontId="1"/>
  </si>
  <si>
    <t>エンシュア</t>
    <phoneticPr fontId="1"/>
  </si>
  <si>
    <t>http://www.info.pmda.go.jp/go/pack/3259114S1026_1_19/</t>
    <phoneticPr fontId="1"/>
  </si>
  <si>
    <t>http://www.boshiaiikukai.jp/milk02.html</t>
  </si>
  <si>
    <t>特殊ミルク</t>
    <rPh sb="0" eb="2">
      <t>トクシュ</t>
    </rPh>
    <phoneticPr fontId="1"/>
  </si>
  <si>
    <t>http://www.boshiaiikukai.jp/img/milk/tourokugai_milkseibun.pdf</t>
  </si>
  <si>
    <t>http://www.boshiaiikukai.jp/img/milk/shihan_milkseibun.pdf</t>
  </si>
  <si>
    <t>100mLあたり</t>
    <phoneticPr fontId="1"/>
  </si>
  <si>
    <t>Na [mEq/L]</t>
    <phoneticPr fontId="1"/>
  </si>
  <si>
    <t>K [mEq/L]</t>
    <phoneticPr fontId="1"/>
  </si>
  <si>
    <t>その他</t>
    <rPh sb="2" eb="3">
      <t>ホカ</t>
    </rPh>
    <phoneticPr fontId="1"/>
  </si>
  <si>
    <t>飲んでいる量[mL]</t>
    <rPh sb="0" eb="1">
      <t>ノ</t>
    </rPh>
    <rPh sb="5" eb="6">
      <t>リョウ</t>
    </rPh>
    <phoneticPr fontId="1"/>
  </si>
  <si>
    <t>Total</t>
    <phoneticPr fontId="1"/>
  </si>
  <si>
    <t>母乳 (成熟乳)</t>
    <rPh sb="0" eb="2">
      <t>ボニュウ</t>
    </rPh>
    <rPh sb="4" eb="7">
      <t xml:space="preserve">セイジュクニュウ </t>
    </rPh>
    <phoneticPr fontId="1"/>
  </si>
  <si>
    <t>人工乳
(はいはい)</t>
    <rPh sb="0" eb="2">
      <t>ジンコウ</t>
    </rPh>
    <rPh sb="2" eb="3">
      <t>ニュウ</t>
    </rPh>
    <phoneticPr fontId="1"/>
  </si>
  <si>
    <t>フォローアップ
(ぐんぐん)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</si>
</sst>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6" formatCode="0.00_);[Red]\(0.00\)"/>
  </numFmts>
  <fonts count="9">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11"/>
      <color theme="1"/>
      <name val="メイリオ"/>
      <family val="3"/>
      <charset val="128"/>
    </font>
    <font>
      <sz val="11"/>
      <color theme="1"/>
      <name val="メイリオ"/>
      <family val="3"/>
      <charset val="128"/>
    </font>
    <font>
      <b/>
      <sz val="11"/>
      <name val="メイリオ"/>
      <family val="3"/>
      <charset val="128"/>
    </font>
    <font>
      <sz val="11"/>
      <name val="メイリオ"/>
      <family val="3"/>
      <charset val="128"/>
    </font>
    <font>
      <sz val="10"/>
      <color rgb="FF000000"/>
      <name val="Yu Gothic UI"/>
    </font>
    <font>
      <b/>
      <sz val="10"/>
      <color rgb="FF000000"/>
      <name val="Yu Gothic UI"/>
    </font>
  </fonts>
  <fills count="5">
    <fill>
      <patternFill patternType="none"/>
    </fill>
    <fill>
      <patternFill patternType="gray125"/>
    </fill>
    <fill>
      <patternFill patternType="solid">
        <fgColor theme="4" tint="0.79998168889431442"/>
        <bgColor indexed="64"/>
      </patternFill>
    </fill>
    <fill>
      <patternFill patternType="solid">
        <fgColor rgb="FF99CCFF"/>
        <bgColor indexed="64"/>
      </patternFill>
    </fill>
    <fill>
      <patternFill patternType="solid">
        <fgColor theme="5" tint="0.79998168889431442"/>
        <bgColor indexed="64"/>
      </patternFill>
    </fill>
  </fills>
  <borders count="2">
    <border>
      <left/>
      <right/>
      <top/>
      <bottom/>
      <diagonal/>
    </border>
    <border>
      <left/>
      <right style="thin">
        <color theme="4"/>
      </right>
      <top style="thin">
        <color theme="4"/>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
    <xf numFmtId="0" fontId="0" fillId="0" borderId="0" xfId="0">
      <alignment vertical="center"/>
    </xf>
    <xf numFmtId="0" fontId="2" fillId="0" borderId="0" xfId="1">
      <alignment vertical="center"/>
    </xf>
    <xf numFmtId="0" fontId="3" fillId="3" borderId="0" xfId="0" applyFont="1" applyFill="1" applyAlignment="1">
      <alignment horizontal="right" vertical="center"/>
    </xf>
    <xf numFmtId="0" fontId="5" fillId="3" borderId="0" xfId="0" applyFont="1" applyFill="1" applyAlignment="1">
      <alignment horizontal="center" vertical="center"/>
    </xf>
    <xf numFmtId="0" fontId="6" fillId="2" borderId="0" xfId="0" applyFont="1" applyFill="1">
      <alignment vertical="center"/>
    </xf>
    <xf numFmtId="0" fontId="5" fillId="3" borderId="1" xfId="0" applyFont="1" applyFill="1" applyBorder="1" applyAlignment="1">
      <alignment horizontal="center" vertical="center" wrapText="1"/>
    </xf>
    <xf numFmtId="2" fontId="4" fillId="4" borderId="0" xfId="0" applyNumberFormat="1" applyFont="1" applyFill="1" applyAlignment="1">
      <alignment horizontal="right" vertical="center"/>
    </xf>
    <xf numFmtId="0" fontId="5" fillId="3" borderId="0" xfId="0" applyFont="1" applyFill="1" applyAlignment="1">
      <alignment horizontal="center" vertical="center" wrapText="1"/>
    </xf>
    <xf numFmtId="186" fontId="4" fillId="0" borderId="0" xfId="0" applyNumberFormat="1" applyFont="1">
      <alignment vertical="center"/>
    </xf>
  </cellXfs>
  <cellStyles count="2">
    <cellStyle name="ハイパーリンク" xfId="1" builtinId="8"/>
    <cellStyle name="標準" xfId="0" builtinId="0"/>
  </cellStyles>
  <dxfs count="9">
    <dxf>
      <font>
        <strike val="0"/>
        <outline val="0"/>
        <shadow val="0"/>
        <u val="none"/>
        <vertAlign val="baseline"/>
        <sz val="11"/>
        <color theme="1"/>
        <name val="メイリオ"/>
        <scheme val="none"/>
      </font>
      <numFmt numFmtId="186" formatCode="0.00_);[Red]\(0.00\)"/>
    </dxf>
    <dxf>
      <font>
        <strike val="0"/>
        <outline val="0"/>
        <shadow val="0"/>
        <u val="none"/>
        <vertAlign val="baseline"/>
        <sz val="11"/>
        <color theme="1"/>
        <name val="メイリオ"/>
        <scheme val="none"/>
      </font>
      <numFmt numFmtId="186" formatCode="0.00_);[Red]\(0.00\)"/>
    </dxf>
    <dxf>
      <font>
        <strike val="0"/>
        <outline val="0"/>
        <shadow val="0"/>
        <u val="none"/>
        <vertAlign val="baseline"/>
        <sz val="11"/>
        <color theme="1"/>
        <name val="メイリオ"/>
        <scheme val="none"/>
      </font>
      <numFmt numFmtId="186" formatCode="0.00_);[Red]\(0.00\)"/>
    </dxf>
    <dxf>
      <font>
        <strike val="0"/>
        <outline val="0"/>
        <shadow val="0"/>
        <u val="none"/>
        <vertAlign val="baseline"/>
        <sz val="11"/>
        <color theme="1"/>
        <name val="メイリオ"/>
        <scheme val="none"/>
      </font>
      <numFmt numFmtId="186" formatCode="0.00_);[Red]\(0.00\)"/>
    </dxf>
    <dxf>
      <font>
        <strike val="0"/>
        <outline val="0"/>
        <shadow val="0"/>
        <u val="none"/>
        <vertAlign val="baseline"/>
        <sz val="11"/>
        <color theme="1"/>
        <name val="メイリオ"/>
        <scheme val="none"/>
      </font>
      <numFmt numFmtId="186" formatCode="0.00_);[Red]\(0.00\)"/>
    </dxf>
    <dxf>
      <font>
        <b/>
        <i val="0"/>
        <strike val="0"/>
        <condense val="0"/>
        <extend val="0"/>
        <outline val="0"/>
        <shadow val="0"/>
        <u val="none"/>
        <vertAlign val="baseline"/>
        <sz val="11"/>
        <color theme="1"/>
        <name val="メイリオ"/>
        <scheme val="none"/>
      </font>
      <fill>
        <patternFill patternType="solid">
          <fgColor indexed="64"/>
          <bgColor rgb="FF99CCFF"/>
        </patternFill>
      </fill>
      <alignment horizontal="right" vertical="center" textRotation="0" wrapText="0" indent="0" justifyLastLine="0" shrinkToFit="0" readingOrder="0"/>
    </dxf>
    <dxf>
      <font>
        <strike val="0"/>
        <outline val="0"/>
        <shadow val="0"/>
        <u val="none"/>
        <vertAlign val="baseline"/>
        <sz val="11"/>
        <name val="メイリオ"/>
        <scheme val="none"/>
      </font>
    </dxf>
    <dxf>
      <font>
        <strike val="0"/>
        <outline val="0"/>
        <shadow val="0"/>
        <u val="none"/>
        <vertAlign val="baseline"/>
        <sz val="11"/>
        <color theme="1"/>
        <name val="メイリオ"/>
        <scheme val="none"/>
      </font>
    </dxf>
    <dxf>
      <font>
        <strike val="0"/>
        <outline val="0"/>
        <shadow val="0"/>
        <u val="none"/>
        <vertAlign val="baseline"/>
        <sz val="11"/>
        <color auto="1"/>
        <name val="メイリオ"/>
        <scheme val="none"/>
      </font>
      <fill>
        <patternFill patternType="solid">
          <fgColor indexed="64"/>
          <bgColor rgb="FF99CCFF"/>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高橋 亨平" id="{8D9B7A0F-1AD6-B84E-A64A-10CCC356C78A}" userId="高橋 亨平"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F19" headerRowDxfId="8" dataDxfId="7" totalsRowDxfId="6">
  <tableColumns count="6">
    <tableColumn id="1" xr3:uid="{00000000-0010-0000-0000-000001000000}" name="100mLあたり" totalsRowLabel="集計" dataDxfId="5"/>
    <tableColumn id="2" xr3:uid="{00000000-0010-0000-0000-000002000000}" name="母乳 (成熟乳)" dataDxfId="4"/>
    <tableColumn id="3" xr3:uid="{00000000-0010-0000-0000-000003000000}" name="人工乳_x000a_(はいはい)" dataDxfId="3"/>
    <tableColumn id="4" xr3:uid="{00000000-0010-0000-0000-000004000000}" name="フォローアップ_x000a_(ぐんぐん)" dataDxfId="2"/>
    <tableColumn id="5" xr3:uid="{00000000-0010-0000-0000-000005000000}" name="ボンラクトi" dataDxfId="1"/>
    <tableColumn id="6" xr3:uid="{00000000-0010-0000-0000-000006000000}" name="エレメンタルフォーミュラ" dataDxfId="0"/>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リゾート">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 dT="2022-03-07T16:38:35.84" personId="{8D9B7A0F-1AD6-B84E-A64A-10CCC356C78A}" id="{AD443213-5E7E-9746-BB42-D820B456AA47}">
    <text>2022-03-07</text>
  </threadedComment>
  <threadedComment ref="D1" dT="2022-03-07T16:38:29.59" personId="{8D9B7A0F-1AD6-B84E-A64A-10CCC356C78A}" id="{145BB5E1-7483-3144-80CC-38436C4DBBBF}">
    <text>2022-03-07</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info.pmda.go.jp/go/pack/3259114S1026_1_1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zoomScale="85" zoomScaleNormal="85" workbookViewId="0">
      <selection activeCell="F14" sqref="F14"/>
    </sheetView>
  </sheetViews>
  <sheetFormatPr baseColWidth="10" defaultColWidth="8.83203125" defaultRowHeight="14"/>
  <cols>
    <col min="1" max="1" width="17.6640625" bestFit="1" customWidth="1"/>
    <col min="2" max="6" width="13.33203125" customWidth="1"/>
  </cols>
  <sheetData>
    <row r="1" spans="1:8" ht="37.5" customHeight="1">
      <c r="A1" s="3" t="s">
        <v>33</v>
      </c>
      <c r="B1" s="7" t="s">
        <v>39</v>
      </c>
      <c r="C1" s="7" t="s">
        <v>40</v>
      </c>
      <c r="D1" s="7" t="s">
        <v>41</v>
      </c>
      <c r="E1" s="7" t="s">
        <v>18</v>
      </c>
      <c r="F1" s="7" t="s">
        <v>19</v>
      </c>
      <c r="H1" s="5" t="s">
        <v>38</v>
      </c>
    </row>
    <row r="2" spans="1:8" ht="19">
      <c r="A2" s="2" t="s">
        <v>0</v>
      </c>
      <c r="B2" s="8">
        <v>61</v>
      </c>
      <c r="C2" s="8">
        <f>518/7.7</f>
        <v>67.272727272727266</v>
      </c>
      <c r="D2" s="8">
        <f>482/7.7</f>
        <v>62.597402597402599</v>
      </c>
      <c r="E2" s="8">
        <f>480/7.14</f>
        <v>67.226890756302524</v>
      </c>
      <c r="F2" s="8">
        <f>391/5.88</f>
        <v>66.496598639455783</v>
      </c>
      <c r="H2" s="6">
        <f>SUMPRODUCT(B2:F2,B$21:$F$21)/100</f>
        <v>61</v>
      </c>
    </row>
    <row r="3" spans="1:8" ht="19">
      <c r="A3" s="2" t="s">
        <v>1</v>
      </c>
      <c r="B3" s="8">
        <v>1.1000000000000001</v>
      </c>
      <c r="C3" s="8">
        <f>11.4/7.7</f>
        <v>1.4805194805194806</v>
      </c>
      <c r="D3" s="8">
        <f>12.5/7.7</f>
        <v>1.6233766233766234</v>
      </c>
      <c r="E3" s="8">
        <f>12.9/7.14</f>
        <v>1.8067226890756303</v>
      </c>
      <c r="F3" s="8">
        <f>11.5/5.88</f>
        <v>1.9557823129251701</v>
      </c>
      <c r="H3" s="6">
        <f>SUMPRODUCT(B3:F3,B$21:$F$21)/100</f>
        <v>1.1000000000000001</v>
      </c>
    </row>
    <row r="4" spans="1:8" ht="19">
      <c r="A4" s="2" t="s">
        <v>2</v>
      </c>
      <c r="B4" s="8">
        <v>3.5</v>
      </c>
      <c r="C4" s="8">
        <f>27.4/7.7</f>
        <v>3.5584415584415581</v>
      </c>
      <c r="D4" s="8">
        <f>21.4/7.7</f>
        <v>2.779220779220779</v>
      </c>
      <c r="E4" s="8">
        <f>20.6/7.14</f>
        <v>2.8851540616246503</v>
      </c>
      <c r="F4" s="8">
        <f>2.5/5.88</f>
        <v>0.42517006802721091</v>
      </c>
      <c r="H4" s="6">
        <f>SUMPRODUCT(B4:F4,B$21:$F$21)/100</f>
        <v>3.5</v>
      </c>
    </row>
    <row r="5" spans="1:8" ht="19">
      <c r="A5" s="2" t="s">
        <v>3</v>
      </c>
      <c r="B5" s="8">
        <f>23/100*B2</f>
        <v>14.030000000000001</v>
      </c>
      <c r="C5" s="8">
        <f>0.36/7.7*1000/2.54</f>
        <v>18.406790060333364</v>
      </c>
      <c r="D5" s="8">
        <f>0.56/7.7*1000/2.54</f>
        <v>28.632784538296352</v>
      </c>
      <c r="E5" s="8">
        <f>0.41/7.14*1000/2.54</f>
        <v>22.607468184124041</v>
      </c>
      <c r="F5" s="8">
        <f>185/5.88</f>
        <v>31.462585034013607</v>
      </c>
      <c r="H5" s="6">
        <f>SUMPRODUCT(B5:F5,B$21:$F$21)/100</f>
        <v>14.03</v>
      </c>
    </row>
    <row r="6" spans="1:8" ht="19">
      <c r="A6" s="2" t="s">
        <v>34</v>
      </c>
      <c r="B6" s="8">
        <f>B5/23*10</f>
        <v>6.1000000000000014</v>
      </c>
      <c r="C6" s="8">
        <f>C5/23*10</f>
        <v>8.0029522001449411</v>
      </c>
      <c r="D6" s="8">
        <f>D5/23*10</f>
        <v>12.449036755781023</v>
      </c>
      <c r="E6" s="8">
        <f t="shared" ref="E6:F6" si="0">E5/23*10</f>
        <v>9.8293339930974089</v>
      </c>
      <c r="F6" s="8">
        <f t="shared" si="0"/>
        <v>13.679384797397221</v>
      </c>
      <c r="H6" s="6">
        <f>SUMPRODUCT(B6:F6,B$21:$F$21)/1000</f>
        <v>0.6100000000000001</v>
      </c>
    </row>
    <row r="7" spans="1:8" ht="19">
      <c r="A7" s="2" t="s">
        <v>4</v>
      </c>
      <c r="B7" s="8">
        <f>74/100*B2</f>
        <v>45.14</v>
      </c>
      <c r="C7" s="8">
        <f>480/7.7</f>
        <v>62.337662337662337</v>
      </c>
      <c r="D7" s="8">
        <f>750/7.7</f>
        <v>97.402597402597394</v>
      </c>
      <c r="E7" s="8">
        <f>540/7.14</f>
        <v>75.630252100840337</v>
      </c>
      <c r="F7" s="8">
        <f>450/5.88</f>
        <v>76.530612244897966</v>
      </c>
      <c r="H7" s="6">
        <f>SUMPRODUCT(B7:F7,B$21:$F$21)/100</f>
        <v>45.14</v>
      </c>
    </row>
    <row r="8" spans="1:8" ht="19">
      <c r="A8" s="2" t="s">
        <v>35</v>
      </c>
      <c r="B8" s="8">
        <f>B7/39.1*10</f>
        <v>11.54475703324808</v>
      </c>
      <c r="C8" s="8">
        <f>C7/39.1*10</f>
        <v>15.943136147739727</v>
      </c>
      <c r="D8" s="8">
        <f>D7/39.1*10</f>
        <v>24.911150230843326</v>
      </c>
      <c r="E8" s="8">
        <f t="shared" ref="E8" si="1">E7/39.1*10</f>
        <v>19.3427754733607</v>
      </c>
      <c r="F8" s="8">
        <f>F7/39.1*10</f>
        <v>19.573046609948328</v>
      </c>
      <c r="H8" s="6">
        <f>SUMPRODUCT(B8:F8,B$21:$F$21)/1000</f>
        <v>1.1544757033248081</v>
      </c>
    </row>
    <row r="9" spans="1:8" ht="19">
      <c r="A9" s="2" t="s">
        <v>5</v>
      </c>
      <c r="B9" s="8">
        <f>0.06/100*B2</f>
        <v>3.6599999999999994E-2</v>
      </c>
      <c r="C9" s="8">
        <f>6/7.7</f>
        <v>0.77922077922077926</v>
      </c>
      <c r="D9" s="8">
        <f>9.5/7.7</f>
        <v>1.2337662337662338</v>
      </c>
      <c r="E9" s="8">
        <f>7/7.14</f>
        <v>0.98039215686274517</v>
      </c>
      <c r="F9" s="8">
        <f>6.5/5.88</f>
        <v>1.1054421768707483</v>
      </c>
      <c r="H9" s="6">
        <f>SUMPRODUCT(B9:F9,B$21:$F$21)/100</f>
        <v>3.6599999999999994E-2</v>
      </c>
    </row>
    <row r="10" spans="1:8" ht="19">
      <c r="A10" s="2" t="s">
        <v>9</v>
      </c>
      <c r="B10" s="8">
        <f>42/100*B2</f>
        <v>25.619999999999997</v>
      </c>
      <c r="C10" s="8">
        <f>380/7.7</f>
        <v>49.350649350649348</v>
      </c>
      <c r="D10" s="8">
        <f>760/7.7</f>
        <v>98.701298701298697</v>
      </c>
      <c r="E10" s="8">
        <f>380/7.14</f>
        <v>53.221288515406165</v>
      </c>
      <c r="F10" s="8">
        <f>380/5.88</f>
        <v>64.625850340136054</v>
      </c>
      <c r="H10" s="6">
        <f>SUMPRODUCT(B10:F10,B$21:$F$21)/100</f>
        <v>25.619999999999994</v>
      </c>
    </row>
    <row r="11" spans="1:8" ht="19">
      <c r="A11" s="2" t="s">
        <v>12</v>
      </c>
      <c r="B11" s="8">
        <f>22/100*B2</f>
        <v>13.42</v>
      </c>
      <c r="C11" s="8">
        <f>210/7.7</f>
        <v>27.272727272727273</v>
      </c>
      <c r="D11" s="8">
        <f>400/7.7</f>
        <v>51.948051948051948</v>
      </c>
      <c r="E11" s="8">
        <f>210/7.14</f>
        <v>29.411764705882355</v>
      </c>
      <c r="F11" s="8">
        <f>220/5.88</f>
        <v>37.414965986394556</v>
      </c>
      <c r="H11" s="6">
        <f>SUMPRODUCT(B11:F11,B$21:$F$21)/100</f>
        <v>13.42</v>
      </c>
    </row>
    <row r="12" spans="1:8" ht="19">
      <c r="A12" s="2" t="s">
        <v>10</v>
      </c>
      <c r="B12" s="8">
        <f>5/100*B2</f>
        <v>3.0500000000000003</v>
      </c>
      <c r="C12" s="8">
        <f>40/7.7</f>
        <v>5.1948051948051948</v>
      </c>
      <c r="D12" s="8">
        <f>65/7.7</f>
        <v>8.4415584415584419</v>
      </c>
      <c r="E12" s="8">
        <f>40/7.14</f>
        <v>5.6022408963585439</v>
      </c>
      <c r="F12" s="8">
        <f>42/5.88</f>
        <v>7.1428571428571432</v>
      </c>
      <c r="H12" s="6">
        <f>SUMPRODUCT(B12:F12,B$21:$F$21)/100</f>
        <v>3.05</v>
      </c>
    </row>
    <row r="13" spans="1:8" ht="19">
      <c r="A13" s="2" t="s">
        <v>11</v>
      </c>
      <c r="B13" s="8">
        <f>0.5/100*B2</f>
        <v>0.30499999999999999</v>
      </c>
      <c r="C13" s="8">
        <f>3/7.7</f>
        <v>0.38961038961038963</v>
      </c>
      <c r="D13" s="8">
        <f>1.6/7.7</f>
        <v>0.20779220779220781</v>
      </c>
      <c r="E13" s="8">
        <f>3.6/7.14</f>
        <v>0.50420168067226889</v>
      </c>
      <c r="F13" s="8">
        <f>2.8/5.88</f>
        <v>0.47619047619047616</v>
      </c>
      <c r="H13" s="6">
        <f>SUMPRODUCT(B13:F13,B$21:$F$21)/100</f>
        <v>0.30499999999999999</v>
      </c>
    </row>
    <row r="14" spans="1:8" ht="19">
      <c r="A14" s="2" t="s">
        <v>15</v>
      </c>
      <c r="B14" s="8">
        <f>50/100*B2</f>
        <v>30.5</v>
      </c>
      <c r="C14" s="8">
        <f>320/7.7</f>
        <v>41.558441558441558</v>
      </c>
      <c r="D14" s="8" t="e">
        <f>NA()</f>
        <v>#N/A</v>
      </c>
      <c r="E14" s="8">
        <f>0.32/7.14</f>
        <v>4.4817927170868348E-2</v>
      </c>
      <c r="F14" s="8">
        <f>320/5.88</f>
        <v>54.421768707482997</v>
      </c>
      <c r="H14" s="6" t="e">
        <f>SUMPRODUCT(B14:F14,B$21:$F$21)/100</f>
        <v>#N/A</v>
      </c>
    </row>
    <row r="15" spans="1:8" ht="19">
      <c r="A15" s="2" t="s">
        <v>23</v>
      </c>
      <c r="B15" s="8" t="s">
        <v>24</v>
      </c>
      <c r="C15" s="8" t="e">
        <f>NA()</f>
        <v>#N/A</v>
      </c>
      <c r="D15" s="8" t="e">
        <f>NA()</f>
        <v>#N/A</v>
      </c>
      <c r="E15" s="8" t="e">
        <f>NA()</f>
        <v>#N/A</v>
      </c>
      <c r="F15" s="8" t="e">
        <f>NA()</f>
        <v>#N/A</v>
      </c>
      <c r="H15" s="6" t="e">
        <f>SUMPRODUCT(B15:F15,B$21:$F$21)/100</f>
        <v>#N/A</v>
      </c>
    </row>
    <row r="16" spans="1:8" ht="19">
      <c r="A16" s="2" t="s">
        <v>25</v>
      </c>
      <c r="B16" s="8">
        <f>3.1/100*B2</f>
        <v>1.891</v>
      </c>
      <c r="C16" s="8">
        <f>8/7.7</f>
        <v>1.0389610389610389</v>
      </c>
      <c r="D16" s="8">
        <f>20/7.7</f>
        <v>2.5974025974025974</v>
      </c>
      <c r="E16" s="8" t="e">
        <f>NA()</f>
        <v>#N/A</v>
      </c>
      <c r="F16" s="8">
        <v>0</v>
      </c>
      <c r="H16" s="6" t="e">
        <f>SUMPRODUCT(B16:F16,B$21:$F$21)/100</f>
        <v>#N/A</v>
      </c>
    </row>
    <row r="17" spans="1:8" ht="19">
      <c r="A17" s="2" t="s">
        <v>16</v>
      </c>
      <c r="B17" s="8">
        <f>0.8/100*B2</f>
        <v>0.48799999999999999</v>
      </c>
      <c r="C17" s="8">
        <f>10/7.7</f>
        <v>1.2987012987012987</v>
      </c>
      <c r="D17" s="8">
        <f>20/7.7</f>
        <v>2.5974025974025974</v>
      </c>
      <c r="E17" s="8">
        <f>10/7.14</f>
        <v>1.400560224089636</v>
      </c>
      <c r="F17" s="8">
        <f>9.4/5.88</f>
        <v>1.5986394557823129</v>
      </c>
      <c r="H17" s="6">
        <f>SUMPRODUCT(B17:F17,B$21:$F$21)/100</f>
        <v>0.48799999999999999</v>
      </c>
    </row>
    <row r="18" spans="1:8" ht="19">
      <c r="A18" s="2" t="s">
        <v>17</v>
      </c>
      <c r="B18" s="8" t="e">
        <f>NA()</f>
        <v>#N/A</v>
      </c>
      <c r="C18" s="8">
        <f>15/7.7</f>
        <v>1.948051948051948</v>
      </c>
      <c r="D18" s="8" t="e">
        <f>NA()</f>
        <v>#N/A</v>
      </c>
      <c r="E18" s="8" t="e">
        <f>NA()</f>
        <v>#N/A</v>
      </c>
      <c r="F18" s="8">
        <f>7.8/5.88</f>
        <v>1.3265306122448979</v>
      </c>
      <c r="H18" s="6" t="e">
        <f>SUMPRODUCT(B18:F18,B$21:$F$21)/100</f>
        <v>#N/A</v>
      </c>
    </row>
    <row r="19" spans="1:8" ht="19">
      <c r="A19" s="2" t="s">
        <v>36</v>
      </c>
      <c r="B19" s="8"/>
      <c r="C19" s="8"/>
      <c r="D19" s="8"/>
      <c r="E19" s="8"/>
      <c r="F19" s="8"/>
      <c r="H19" s="6"/>
    </row>
    <row r="21" spans="1:8" ht="19">
      <c r="A21" s="2" t="s">
        <v>37</v>
      </c>
      <c r="B21" s="4">
        <v>100</v>
      </c>
      <c r="C21" s="4">
        <v>0</v>
      </c>
      <c r="D21" s="4">
        <v>0</v>
      </c>
      <c r="E21" s="4">
        <v>0</v>
      </c>
      <c r="F21" s="4">
        <v>0</v>
      </c>
    </row>
  </sheetData>
  <phoneticPr fontId="1"/>
  <pageMargins left="0.7" right="0.7" top="0.75" bottom="0.75" header="0.3" footer="0.3"/>
  <pageSetup paperSize="9"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11"/>
  <sheetViews>
    <sheetView workbookViewId="0">
      <selection activeCell="D12" sqref="D12"/>
    </sheetView>
  </sheetViews>
  <sheetFormatPr baseColWidth="10" defaultColWidth="8.83203125" defaultRowHeight="14"/>
  <cols>
    <col min="3" max="3" width="16.1640625" bestFit="1" customWidth="1"/>
  </cols>
  <sheetData>
    <row r="3" spans="2:4">
      <c r="B3" t="s">
        <v>6</v>
      </c>
    </row>
    <row r="4" spans="2:4">
      <c r="B4" t="s">
        <v>20</v>
      </c>
      <c r="D4" t="s">
        <v>22</v>
      </c>
    </row>
    <row r="5" spans="2:4">
      <c r="B5" t="s">
        <v>21</v>
      </c>
      <c r="C5" t="s">
        <v>7</v>
      </c>
      <c r="D5" t="s">
        <v>8</v>
      </c>
    </row>
    <row r="6" spans="2:4">
      <c r="C6" t="s">
        <v>14</v>
      </c>
      <c r="D6" t="s">
        <v>13</v>
      </c>
    </row>
    <row r="7" spans="2:4">
      <c r="C7" t="s">
        <v>27</v>
      </c>
    </row>
    <row r="8" spans="2:4">
      <c r="C8" t="s">
        <v>26</v>
      </c>
      <c r="D8" s="1" t="s">
        <v>28</v>
      </c>
    </row>
    <row r="9" spans="2:4">
      <c r="C9" t="s">
        <v>30</v>
      </c>
      <c r="D9" t="s">
        <v>29</v>
      </c>
    </row>
    <row r="10" spans="2:4">
      <c r="D10" t="s">
        <v>31</v>
      </c>
    </row>
    <row r="11" spans="2:4">
      <c r="D11" t="s">
        <v>32</v>
      </c>
    </row>
  </sheetData>
  <phoneticPr fontId="1"/>
  <hyperlinks>
    <hyperlink ref="D8" r:id="rId1"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栄養素表</vt:lpstr>
      <vt:lpstr>参考文献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岡山医療センター</dc:creator>
  <cp:lastModifiedBy>高橋 亨平</cp:lastModifiedBy>
  <dcterms:created xsi:type="dcterms:W3CDTF">2015-02-18T01:35:21Z</dcterms:created>
  <dcterms:modified xsi:type="dcterms:W3CDTF">2022-03-07T16:49:43Z</dcterms:modified>
</cp:coreProperties>
</file>